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prings Hill WSC\Projects\22-026-AUS Springs Hill WSC SER\00-Standards\Notes-Standard Details-Submittal Checklist\External Forms\SHSUD Forms 20241101\"/>
    </mc:Choice>
  </mc:AlternateContent>
  <xr:revisionPtr revIDLastSave="0" documentId="13_ncr:1_{EF0A6377-0FA5-4F6B-BF92-0A90DA01B1F8}" xr6:coauthVersionLast="47" xr6:coauthVersionMax="47" xr10:uidLastSave="{00000000-0000-0000-0000-000000000000}"/>
  <bookViews>
    <workbookView xWindow="-105" yWindow="0" windowWidth="14610" windowHeight="15585" xr2:uid="{5DBCF669-7039-4A54-9910-92ABA50AAF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" i="1" l="1"/>
  <c r="E57" i="1"/>
  <c r="E56" i="1"/>
  <c r="E55" i="1"/>
  <c r="E54" i="1"/>
  <c r="E53" i="1"/>
  <c r="E52" i="1"/>
  <c r="E51" i="1"/>
  <c r="E50" i="1"/>
  <c r="E49" i="1"/>
  <c r="E48" i="1"/>
  <c r="E47" i="1"/>
  <c r="E46" i="1"/>
  <c r="E44" i="1"/>
  <c r="E43" i="1"/>
  <c r="E36" i="1"/>
  <c r="E42" i="1"/>
  <c r="E41" i="1"/>
  <c r="E40" i="1"/>
  <c r="E39" i="1"/>
  <c r="E38" i="1"/>
  <c r="E37" i="1"/>
  <c r="E35" i="1"/>
  <c r="E34" i="1"/>
  <c r="E33" i="1"/>
  <c r="E32" i="1"/>
  <c r="E31" i="1"/>
  <c r="E29" i="1"/>
  <c r="E28" i="1"/>
  <c r="E27" i="1"/>
  <c r="E26" i="1"/>
  <c r="E25" i="1"/>
  <c r="E24" i="1"/>
  <c r="E23" i="1"/>
  <c r="E22" i="1"/>
  <c r="E21" i="1"/>
  <c r="E20" i="1"/>
  <c r="E19" i="1"/>
  <c r="E18" i="1"/>
  <c r="A13" i="1"/>
  <c r="E17" i="1"/>
  <c r="E16" i="1"/>
  <c r="E15" i="1"/>
  <c r="E14" i="1"/>
  <c r="E13" i="1"/>
  <c r="E12" i="1"/>
  <c r="E45" i="1"/>
  <c r="E30" i="1"/>
</calcChain>
</file>

<file path=xl/sharedStrings.xml><?xml version="1.0" encoding="utf-8"?>
<sst xmlns="http://schemas.openxmlformats.org/spreadsheetml/2006/main" count="102" uniqueCount="77">
  <si>
    <t>EDU CALCULATION TABLE</t>
  </si>
  <si>
    <t>Line #</t>
  </si>
  <si>
    <t>Type of Development</t>
  </si>
  <si>
    <t>Quantity</t>
  </si>
  <si>
    <t>Unit</t>
  </si>
  <si>
    <t>EDUs</t>
  </si>
  <si>
    <t>Bakery</t>
  </si>
  <si>
    <t>Square Foot</t>
  </si>
  <si>
    <t>Banquet Hall (No Cooking, Warming Kitchen Only)</t>
  </si>
  <si>
    <t>Occupant</t>
  </si>
  <si>
    <t>Bowl</t>
  </si>
  <si>
    <t>Bowling Alley (Dining Additional Charge)</t>
  </si>
  <si>
    <t>Lane</t>
  </si>
  <si>
    <t>Car Repair (Office Additional Charge)</t>
  </si>
  <si>
    <t>Carwash, Tunnel, Self-Service</t>
  </si>
  <si>
    <t>Carwash</t>
  </si>
  <si>
    <t>Carwash, Wand Type, Self-Serve</t>
  </si>
  <si>
    <t>Carwash Bay</t>
  </si>
  <si>
    <t>Church or Fellowship Hall</t>
  </si>
  <si>
    <t>Country Club</t>
  </si>
  <si>
    <t>Member</t>
  </si>
  <si>
    <t>Guest</t>
  </si>
  <si>
    <t xml:space="preserve">Dance School or Dance Studio </t>
  </si>
  <si>
    <t>Day Care Center</t>
  </si>
  <si>
    <t>Dormitory (Dining Additional Charge)</t>
  </si>
  <si>
    <t>Bed</t>
  </si>
  <si>
    <t>Fire Station (Dining Additional Charge)</t>
  </si>
  <si>
    <t>Capita</t>
  </si>
  <si>
    <t>Funeral Home (Services Per Week)</t>
  </si>
  <si>
    <t>Service</t>
  </si>
  <si>
    <t>Gas Station with Carwash</t>
  </si>
  <si>
    <t>Station</t>
  </si>
  <si>
    <t>Gas Station without Carwash</t>
  </si>
  <si>
    <t>Grocery Store, 5,000-28,999 Sq. Ft</t>
  </si>
  <si>
    <t>Grocery Store, 29,000 ≤ Sq. Ft</t>
  </si>
  <si>
    <t>Hospital (Dining Additional Charge)</t>
  </si>
  <si>
    <t>Hotel or Motel, With or Without Kitchenettes</t>
  </si>
  <si>
    <t>Room</t>
  </si>
  <si>
    <t xml:space="preserve">Manufacturing </t>
  </si>
  <si>
    <t xml:space="preserve">Mobile Home Park </t>
  </si>
  <si>
    <t>Space</t>
  </si>
  <si>
    <t>Movie Theater</t>
  </si>
  <si>
    <t>Seat</t>
  </si>
  <si>
    <t>Nail Salon (Manicure or Pedicure)</t>
  </si>
  <si>
    <t>Nursing Home (Salon &amp; Dining Additional Charge)</t>
  </si>
  <si>
    <t>Office (Includes Studio, Therapy &amp; Massage)</t>
  </si>
  <si>
    <t>Prison</t>
  </si>
  <si>
    <t>Recreational Vehicle Park</t>
  </si>
  <si>
    <t>Vehicle</t>
  </si>
  <si>
    <t>Reisdence, Single Family or Townhouse</t>
  </si>
  <si>
    <t>Restaurant, Fast Food</t>
  </si>
  <si>
    <t>Restaurant, Full Service / Dining / Bar Area</t>
  </si>
  <si>
    <t xml:space="preserve">Retail </t>
  </si>
  <si>
    <t>School (College, High, Middle, Elementary)</t>
  </si>
  <si>
    <t>Skating Rink</t>
  </si>
  <si>
    <t>Swimming Pool</t>
  </si>
  <si>
    <t>Toilet (Park Amentity)</t>
  </si>
  <si>
    <t>Toilet</t>
  </si>
  <si>
    <t>Transportation Terminal (Dining Additional Charge)</t>
  </si>
  <si>
    <t>Warehouse</t>
  </si>
  <si>
    <t>Washeteria</t>
  </si>
  <si>
    <t>Machine</t>
  </si>
  <si>
    <t>Water Dispensing Unit - Freestanding</t>
  </si>
  <si>
    <t>NOTES</t>
  </si>
  <si>
    <t>Residence, Apartment</t>
  </si>
  <si>
    <t>Barber Shop or Salon</t>
  </si>
  <si>
    <t>Chair</t>
  </si>
  <si>
    <t>Club, Tavern, Concert Hall, or Lounge</t>
  </si>
  <si>
    <t>Capacity</t>
  </si>
  <si>
    <t>Fitness Center/Club</t>
  </si>
  <si>
    <t>Stadium (free standing)</t>
  </si>
  <si>
    <t>Student</t>
  </si>
  <si>
    <t xml:space="preserve">Recommended EDUs are based on 1 EDU = 248 GPD. </t>
  </si>
  <si>
    <t xml:space="preserve">Enter Quantity by Sq ft, Occ, number of bowls etc. (Column D) to obtain the "approximate," total number of EDUs (Column E). </t>
  </si>
  <si>
    <t>Some proposed developments may require multiple EDU calculations.</t>
  </si>
  <si>
    <r>
      <rPr>
        <sz val="16"/>
        <color theme="1"/>
        <rFont val="Calibri"/>
        <family val="2"/>
        <scheme val="minor"/>
      </rPr>
      <t>EDU Calculation Table</t>
    </r>
    <r>
      <rPr>
        <sz val="11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SPRINGS HILL SPECIAL UTILITY DISTRICT
5510 S. St Hwy 123 - Bypass
Seguin, TX 78155</t>
    </r>
  </si>
  <si>
    <t>Approximate EDU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</si>
</sst>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BD0A9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0" fillId="0" borderId="6" xfId="0" applyBorder="1" applyAlignment="1" applyProtection="1">
      <alignment horizontal="center" vertical="center"/>
      <protection locked="0"/>
    </xf>
    <xf numFmtId="1" fontId="3" fillId="4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1" fontId="3" fillId="4" borderId="6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/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>
      <alignment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5" borderId="0" xfId="0" applyFont="1" applyFill="1" applyBorder="1" applyAlignment="1">
      <alignment horizontal="left" vertical="center"/>
    </xf>
    <xf numFmtId="1" fontId="4" fillId="5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3305175</xdr:colOff>
      <xdr:row>0</xdr:row>
      <xdr:rowOff>28575</xdr:rowOff>
    </xdr:from>
    <xdr:to>
      <xdr:col>4</xdr:col>
      <xdr:colOff>419260</xdr:colOff>
      <xdr:row>1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C6B5F7-DFD9-B44E-4FEF-E93FCACD5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1900" y="28575"/>
          <a:ext cx="2267110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E83B2-1045-4706-BC51-3B074A106E74}">
  <dimension ref="A1:E59"/>
  <sheetViews>
    <sheetView tabSelected="1" view="pageLayout" zoomScaleNormal="100" workbookViewId="0">
      <selection activeCell="C7" sqref="C7"/>
    </sheetView>
  </sheetViews>
  <sheetFormatPr defaultRowHeight="15" x14ac:dyDescent="0.25"/>
  <cols>
    <col min="1" max="1" width="6.5703125" bestFit="1" customWidth="1"/>
    <col min="2" max="2" width="49.7109375" bestFit="1" customWidth="1"/>
    <col min="3" max="3" width="9" bestFit="1" customWidth="1"/>
    <col min="4" max="4" width="13.140625" bestFit="1" customWidth="1"/>
    <col min="5" max="5" width="6" bestFit="1" customWidth="1"/>
  </cols>
  <sheetData>
    <row r="1" spans="1:5" ht="108.75" customHeight="1" x14ac:dyDescent="0.25">
      <c r="A1" s="27" t="s">
        <v>75</v>
      </c>
      <c r="B1" s="26"/>
      <c r="C1" s="25"/>
      <c r="D1" s="25"/>
      <c r="E1" s="25"/>
    </row>
    <row r="2" spans="1:5" ht="15.75" thickBot="1" x14ac:dyDescent="0.3"/>
    <row r="3" spans="1:5" ht="15.75" x14ac:dyDescent="0.25">
      <c r="A3" s="16" t="s">
        <v>63</v>
      </c>
      <c r="B3" s="17"/>
    </row>
    <row r="4" spans="1:5" x14ac:dyDescent="0.25">
      <c r="A4" s="12">
        <v>1</v>
      </c>
      <c r="B4" s="13" t="s">
        <v>72</v>
      </c>
    </row>
    <row r="5" spans="1:5" x14ac:dyDescent="0.25">
      <c r="A5" s="18">
        <v>2</v>
      </c>
      <c r="B5" s="19" t="s">
        <v>73</v>
      </c>
    </row>
    <row r="6" spans="1:5" x14ac:dyDescent="0.25">
      <c r="A6" s="18"/>
      <c r="B6" s="19"/>
    </row>
    <row r="7" spans="1:5" x14ac:dyDescent="0.25">
      <c r="A7" s="18"/>
      <c r="B7" s="19"/>
    </row>
    <row r="8" spans="1:5" ht="30" x14ac:dyDescent="0.25">
      <c r="A8" s="12">
        <v>3</v>
      </c>
      <c r="B8" s="15" t="s">
        <v>74</v>
      </c>
    </row>
    <row r="9" spans="1:5" ht="15.75" thickBot="1" x14ac:dyDescent="0.3"/>
    <row r="10" spans="1:5" ht="21.75" thickBot="1" x14ac:dyDescent="0.4">
      <c r="A10" s="20" t="s">
        <v>0</v>
      </c>
      <c r="B10" s="21"/>
      <c r="C10" s="21"/>
      <c r="D10" s="21"/>
      <c r="E10" s="22"/>
    </row>
    <row r="11" spans="1:5" ht="16.5" thickBot="1" x14ac:dyDescent="0.3">
      <c r="A11" s="1" t="s">
        <v>1</v>
      </c>
      <c r="B11" s="2" t="s">
        <v>2</v>
      </c>
      <c r="C11" s="3" t="s">
        <v>3</v>
      </c>
      <c r="D11" s="1" t="s">
        <v>4</v>
      </c>
      <c r="E11" s="1" t="s">
        <v>5</v>
      </c>
    </row>
    <row r="12" spans="1:5" ht="15.75" x14ac:dyDescent="0.25">
      <c r="A12" s="4">
        <v>1</v>
      </c>
      <c r="B12" s="5" t="s">
        <v>6</v>
      </c>
      <c r="C12" s="14"/>
      <c r="D12" s="5" t="s">
        <v>7</v>
      </c>
      <c r="E12" s="7">
        <f>ROUND(0.0019*C12,0)</f>
        <v>0</v>
      </c>
    </row>
    <row r="13" spans="1:5" ht="15.75" x14ac:dyDescent="0.25">
      <c r="A13" s="8">
        <f>A12+1</f>
        <v>2</v>
      </c>
      <c r="B13" s="9" t="s">
        <v>8</v>
      </c>
      <c r="C13" s="6"/>
      <c r="D13" s="9" t="s">
        <v>9</v>
      </c>
      <c r="E13" s="10">
        <f>ROUND(0.02*C13,0)</f>
        <v>0</v>
      </c>
    </row>
    <row r="14" spans="1:5" ht="15.75" x14ac:dyDescent="0.25">
      <c r="A14" s="8">
        <v>3</v>
      </c>
      <c r="B14" s="9" t="s">
        <v>65</v>
      </c>
      <c r="C14" s="6"/>
      <c r="D14" s="9" t="s">
        <v>66</v>
      </c>
      <c r="E14" s="10">
        <f>ROUND(C14*0.6048,0)</f>
        <v>0</v>
      </c>
    </row>
    <row r="15" spans="1:5" ht="15.75" x14ac:dyDescent="0.25">
      <c r="A15" s="8">
        <v>5</v>
      </c>
      <c r="B15" s="9" t="s">
        <v>11</v>
      </c>
      <c r="C15" s="6"/>
      <c r="D15" s="9" t="s">
        <v>12</v>
      </c>
      <c r="E15" s="10">
        <f>ROUND(C15*0.8,0)</f>
        <v>0</v>
      </c>
    </row>
    <row r="16" spans="1:5" ht="15.75" x14ac:dyDescent="0.25">
      <c r="A16" s="8">
        <v>6</v>
      </c>
      <c r="B16" s="9" t="s">
        <v>13</v>
      </c>
      <c r="C16" s="6"/>
      <c r="D16" s="9" t="s">
        <v>7</v>
      </c>
      <c r="E16" s="10">
        <f>ROUND(C16*0.0002,0)</f>
        <v>0</v>
      </c>
    </row>
    <row r="17" spans="1:5" ht="15.75" x14ac:dyDescent="0.25">
      <c r="A17" s="8">
        <v>7</v>
      </c>
      <c r="B17" s="9" t="s">
        <v>14</v>
      </c>
      <c r="C17" s="6"/>
      <c r="D17" s="9" t="s">
        <v>15</v>
      </c>
      <c r="E17" s="10">
        <f>ROUND(C17*8,0)</f>
        <v>0</v>
      </c>
    </row>
    <row r="18" spans="1:5" ht="15.75" x14ac:dyDescent="0.25">
      <c r="A18" s="8">
        <v>9</v>
      </c>
      <c r="B18" s="9" t="s">
        <v>16</v>
      </c>
      <c r="C18" s="6"/>
      <c r="D18" s="9" t="s">
        <v>17</v>
      </c>
      <c r="E18" s="10">
        <f>ROUND(C18*1.54,0)</f>
        <v>0</v>
      </c>
    </row>
    <row r="19" spans="1:5" ht="15.75" x14ac:dyDescent="0.25">
      <c r="A19" s="8">
        <v>10</v>
      </c>
      <c r="B19" s="9" t="s">
        <v>18</v>
      </c>
      <c r="C19" s="6"/>
      <c r="D19" s="9" t="s">
        <v>68</v>
      </c>
      <c r="E19" s="10">
        <f>ROUND(C19*0.0037,0)</f>
        <v>0</v>
      </c>
    </row>
    <row r="20" spans="1:5" ht="15.75" x14ac:dyDescent="0.25">
      <c r="A20" s="8">
        <v>11</v>
      </c>
      <c r="B20" s="9" t="s">
        <v>67</v>
      </c>
      <c r="C20" s="6"/>
      <c r="D20" s="9" t="s">
        <v>68</v>
      </c>
      <c r="E20" s="10">
        <f>ROUND(C20*0.0399,0)</f>
        <v>0</v>
      </c>
    </row>
    <row r="21" spans="1:5" ht="15.75" x14ac:dyDescent="0.25">
      <c r="A21" s="23">
        <v>13</v>
      </c>
      <c r="B21" s="24" t="s">
        <v>19</v>
      </c>
      <c r="C21" s="6"/>
      <c r="D21" s="9" t="s">
        <v>20</v>
      </c>
      <c r="E21" s="10">
        <f>ROUND(C21*0.4032,0)</f>
        <v>0</v>
      </c>
    </row>
    <row r="22" spans="1:5" ht="15.75" x14ac:dyDescent="0.25">
      <c r="A22" s="23"/>
      <c r="B22" s="24"/>
      <c r="C22" s="6"/>
      <c r="D22" s="9" t="s">
        <v>21</v>
      </c>
      <c r="E22" s="10">
        <f>ROUND(C22*0.1008,0)</f>
        <v>0</v>
      </c>
    </row>
    <row r="23" spans="1:5" ht="15.75" x14ac:dyDescent="0.25">
      <c r="A23" s="8">
        <v>14</v>
      </c>
      <c r="B23" s="9" t="s">
        <v>22</v>
      </c>
      <c r="C23" s="6"/>
      <c r="D23" s="9" t="s">
        <v>9</v>
      </c>
      <c r="E23" s="10">
        <f>ROUND(C23*0.0399,0)</f>
        <v>0</v>
      </c>
    </row>
    <row r="24" spans="1:5" ht="15.75" x14ac:dyDescent="0.25">
      <c r="A24" s="8">
        <v>15</v>
      </c>
      <c r="B24" s="9" t="s">
        <v>23</v>
      </c>
      <c r="C24" s="6"/>
      <c r="D24" s="9" t="s">
        <v>9</v>
      </c>
      <c r="E24" s="10">
        <f>ROUND(C24*0.399,0)</f>
        <v>0</v>
      </c>
    </row>
    <row r="25" spans="1:5" ht="15.75" x14ac:dyDescent="0.25">
      <c r="A25" s="8">
        <v>16</v>
      </c>
      <c r="B25" s="9" t="s">
        <v>24</v>
      </c>
      <c r="C25" s="6"/>
      <c r="D25" s="9" t="s">
        <v>25</v>
      </c>
      <c r="E25" s="10">
        <f>ROUND(C25*0.3604,0)</f>
        <v>0</v>
      </c>
    </row>
    <row r="26" spans="1:5" ht="15.75" x14ac:dyDescent="0.25">
      <c r="A26" s="8">
        <v>17</v>
      </c>
      <c r="B26" s="9" t="s">
        <v>26</v>
      </c>
      <c r="C26" s="6"/>
      <c r="D26" s="9" t="s">
        <v>27</v>
      </c>
      <c r="E26" s="10">
        <f>ROUND(C26*0.3604,0)</f>
        <v>0</v>
      </c>
    </row>
    <row r="27" spans="1:5" ht="15.75" x14ac:dyDescent="0.25">
      <c r="A27" s="8">
        <v>18</v>
      </c>
      <c r="B27" s="9" t="s">
        <v>69</v>
      </c>
      <c r="C27" s="6"/>
      <c r="D27" s="9" t="s">
        <v>7</v>
      </c>
      <c r="E27" s="10">
        <f>ROUND(C27*0.0015,0)</f>
        <v>0</v>
      </c>
    </row>
    <row r="28" spans="1:5" ht="15.75" x14ac:dyDescent="0.25">
      <c r="A28" s="8">
        <v>20</v>
      </c>
      <c r="B28" s="9" t="s">
        <v>28</v>
      </c>
      <c r="C28" s="6"/>
      <c r="D28" s="9" t="s">
        <v>29</v>
      </c>
      <c r="E28" s="10">
        <f>ROUND(C28*0.39,0)</f>
        <v>0</v>
      </c>
    </row>
    <row r="29" spans="1:5" ht="15.75" x14ac:dyDescent="0.25">
      <c r="A29" s="8">
        <v>21</v>
      </c>
      <c r="B29" s="9" t="s">
        <v>30</v>
      </c>
      <c r="C29" s="6"/>
      <c r="D29" s="9" t="s">
        <v>31</v>
      </c>
      <c r="E29" s="10">
        <f>ROUND(C29*11.78,0)</f>
        <v>0</v>
      </c>
    </row>
    <row r="30" spans="1:5" ht="15.75" x14ac:dyDescent="0.25">
      <c r="A30" s="8">
        <v>22</v>
      </c>
      <c r="B30" s="9" t="s">
        <v>32</v>
      </c>
      <c r="C30" s="6"/>
      <c r="D30" s="9" t="s">
        <v>31</v>
      </c>
      <c r="E30" s="10">
        <f>C30*2.21</f>
        <v>0</v>
      </c>
    </row>
    <row r="31" spans="1:5" ht="15.75" x14ac:dyDescent="0.25">
      <c r="A31" s="8">
        <v>23</v>
      </c>
      <c r="B31" s="9" t="s">
        <v>33</v>
      </c>
      <c r="C31" s="6"/>
      <c r="D31" s="9" t="s">
        <v>7</v>
      </c>
      <c r="E31" s="10">
        <f>ROUND(C31*0.00033,0)</f>
        <v>0</v>
      </c>
    </row>
    <row r="32" spans="1:5" ht="15.75" x14ac:dyDescent="0.25">
      <c r="A32" s="8">
        <v>24</v>
      </c>
      <c r="B32" s="9" t="s">
        <v>34</v>
      </c>
      <c r="C32" s="6"/>
      <c r="D32" s="9" t="s">
        <v>7</v>
      </c>
      <c r="E32" s="10">
        <f>ROUND(C32*0.0009,0)</f>
        <v>0</v>
      </c>
    </row>
    <row r="33" spans="1:5" ht="15.75" x14ac:dyDescent="0.25">
      <c r="A33" s="8">
        <v>26</v>
      </c>
      <c r="B33" s="9" t="s">
        <v>35</v>
      </c>
      <c r="C33" s="6"/>
      <c r="D33" s="9" t="s">
        <v>25</v>
      </c>
      <c r="E33" s="10">
        <f>ROUND(C33*0.8001,0)</f>
        <v>0</v>
      </c>
    </row>
    <row r="34" spans="1:5" ht="15.75" x14ac:dyDescent="0.25">
      <c r="A34" s="8">
        <v>27</v>
      </c>
      <c r="B34" s="9" t="s">
        <v>36</v>
      </c>
      <c r="C34" s="6"/>
      <c r="D34" s="9" t="s">
        <v>37</v>
      </c>
      <c r="E34" s="10">
        <f>ROUND(C34*0.7554,0)</f>
        <v>0</v>
      </c>
    </row>
    <row r="35" spans="1:5" ht="15.75" x14ac:dyDescent="0.25">
      <c r="A35" s="8">
        <v>28</v>
      </c>
      <c r="B35" s="9" t="s">
        <v>38</v>
      </c>
      <c r="C35" s="6"/>
      <c r="D35" s="9" t="s">
        <v>7</v>
      </c>
      <c r="E35" s="10">
        <f>ROUND(C35*0.0002,0)</f>
        <v>0</v>
      </c>
    </row>
    <row r="36" spans="1:5" ht="15.75" x14ac:dyDescent="0.25">
      <c r="A36" s="8">
        <v>29</v>
      </c>
      <c r="B36" s="9" t="s">
        <v>39</v>
      </c>
      <c r="C36" s="6"/>
      <c r="D36" s="9" t="s">
        <v>40</v>
      </c>
      <c r="E36" s="10">
        <f>ROUND(C36*0.75,0)</f>
        <v>0</v>
      </c>
    </row>
    <row r="37" spans="1:5" ht="15.75" x14ac:dyDescent="0.25">
      <c r="A37" s="8">
        <v>30</v>
      </c>
      <c r="B37" s="9" t="s">
        <v>41</v>
      </c>
      <c r="C37" s="6"/>
      <c r="D37" s="9" t="s">
        <v>42</v>
      </c>
      <c r="E37" s="10">
        <f>ROUND(C37*0.02,0)</f>
        <v>0</v>
      </c>
    </row>
    <row r="38" spans="1:5" ht="15.75" x14ac:dyDescent="0.25">
      <c r="A38" s="23">
        <v>31</v>
      </c>
      <c r="B38" s="24" t="s">
        <v>43</v>
      </c>
      <c r="C38" s="6"/>
      <c r="D38" s="9" t="s">
        <v>7</v>
      </c>
      <c r="E38" s="10">
        <f>ROUND(C38*0.0004,0)</f>
        <v>0</v>
      </c>
    </row>
    <row r="39" spans="1:5" ht="15.75" x14ac:dyDescent="0.25">
      <c r="A39" s="23"/>
      <c r="B39" s="24"/>
      <c r="C39" s="6"/>
      <c r="D39" s="9" t="s">
        <v>10</v>
      </c>
      <c r="E39" s="10">
        <f>ROUND(C39*0.3024,0)</f>
        <v>0</v>
      </c>
    </row>
    <row r="40" spans="1:5" ht="15.75" x14ac:dyDescent="0.25">
      <c r="A40" s="8">
        <v>32</v>
      </c>
      <c r="B40" s="9" t="s">
        <v>44</v>
      </c>
      <c r="C40" s="6"/>
      <c r="D40" s="9" t="s">
        <v>25</v>
      </c>
      <c r="E40" s="10">
        <f>ROUND(C40*0.3604,0)</f>
        <v>0</v>
      </c>
    </row>
    <row r="41" spans="1:5" ht="15.75" x14ac:dyDescent="0.25">
      <c r="A41" s="8">
        <v>33</v>
      </c>
      <c r="B41" s="9" t="s">
        <v>45</v>
      </c>
      <c r="C41" s="6"/>
      <c r="D41" s="9" t="s">
        <v>7</v>
      </c>
      <c r="E41" s="10">
        <f>ROUND(C41*0.000237,0)</f>
        <v>0</v>
      </c>
    </row>
    <row r="42" spans="1:5" ht="15.75" x14ac:dyDescent="0.25">
      <c r="A42" s="8">
        <v>36</v>
      </c>
      <c r="B42" s="9" t="s">
        <v>46</v>
      </c>
      <c r="C42" s="6"/>
      <c r="D42" s="9" t="s">
        <v>68</v>
      </c>
      <c r="E42" s="10">
        <f>ROUND(C42*0.3654,0)</f>
        <v>0</v>
      </c>
    </row>
    <row r="43" spans="1:5" ht="15.75" x14ac:dyDescent="0.25">
      <c r="A43" s="8">
        <v>38</v>
      </c>
      <c r="B43" s="9" t="s">
        <v>47</v>
      </c>
      <c r="C43" s="6"/>
      <c r="D43" s="9" t="s">
        <v>48</v>
      </c>
      <c r="E43" s="10">
        <f>ROUND(C43*0.5,0)</f>
        <v>0</v>
      </c>
    </row>
    <row r="44" spans="1:5" ht="15.75" x14ac:dyDescent="0.25">
      <c r="A44" s="8">
        <v>39</v>
      </c>
      <c r="B44" s="9" t="s">
        <v>64</v>
      </c>
      <c r="C44" s="6"/>
      <c r="D44" s="9" t="s">
        <v>4</v>
      </c>
      <c r="E44" s="10">
        <f>ROUND(C44*0.75,0)</f>
        <v>0</v>
      </c>
    </row>
    <row r="45" spans="1:5" ht="15.75" x14ac:dyDescent="0.25">
      <c r="A45" s="8">
        <v>42</v>
      </c>
      <c r="B45" s="11" t="s">
        <v>49</v>
      </c>
      <c r="C45" s="6"/>
      <c r="D45" s="9" t="s">
        <v>4</v>
      </c>
      <c r="E45" s="10">
        <f>C45*1</f>
        <v>0</v>
      </c>
    </row>
    <row r="46" spans="1:5" ht="15.75" x14ac:dyDescent="0.25">
      <c r="A46" s="8">
        <v>43</v>
      </c>
      <c r="B46" s="9" t="s">
        <v>50</v>
      </c>
      <c r="C46" s="6"/>
      <c r="D46" s="9" t="s">
        <v>7</v>
      </c>
      <c r="E46" s="10">
        <f>ROUND(C46*0.0021,0)</f>
        <v>0</v>
      </c>
    </row>
    <row r="47" spans="1:5" ht="15.75" x14ac:dyDescent="0.25">
      <c r="A47" s="8">
        <v>44</v>
      </c>
      <c r="B47" s="9" t="s">
        <v>51</v>
      </c>
      <c r="C47" s="6"/>
      <c r="D47" s="9" t="s">
        <v>7</v>
      </c>
      <c r="E47" s="10">
        <f>ROUND(C47*0.0033,0)</f>
        <v>0</v>
      </c>
    </row>
    <row r="48" spans="1:5" ht="15.75" x14ac:dyDescent="0.25">
      <c r="A48" s="8">
        <v>45</v>
      </c>
      <c r="B48" s="9" t="s">
        <v>52</v>
      </c>
      <c r="C48" s="6"/>
      <c r="D48" s="9" t="s">
        <v>7</v>
      </c>
      <c r="E48" s="10">
        <f>ROUND(C48*0.000281,0)</f>
        <v>0</v>
      </c>
    </row>
    <row r="49" spans="1:5" ht="15.75" x14ac:dyDescent="0.25">
      <c r="A49" s="8">
        <v>46</v>
      </c>
      <c r="B49" s="9" t="s">
        <v>53</v>
      </c>
      <c r="C49" s="6"/>
      <c r="D49" s="9" t="s">
        <v>71</v>
      </c>
      <c r="E49" s="10">
        <f>ROUND(C49*0.0198,0)</f>
        <v>0</v>
      </c>
    </row>
    <row r="50" spans="1:5" ht="15.75" x14ac:dyDescent="0.25">
      <c r="A50" s="8">
        <v>47</v>
      </c>
      <c r="B50" s="9" t="s">
        <v>54</v>
      </c>
      <c r="C50" s="6"/>
      <c r="D50" s="9" t="s">
        <v>68</v>
      </c>
      <c r="E50" s="10">
        <f>ROUND(C50*0.02,0)</f>
        <v>0</v>
      </c>
    </row>
    <row r="51" spans="1:5" ht="15.75" x14ac:dyDescent="0.25">
      <c r="A51" s="8">
        <v>48</v>
      </c>
      <c r="B51" s="9" t="s">
        <v>70</v>
      </c>
      <c r="C51" s="6"/>
      <c r="D51" s="9" t="s">
        <v>42</v>
      </c>
      <c r="E51" s="10">
        <f>ROUND(C51*0.0126,0)</f>
        <v>0</v>
      </c>
    </row>
    <row r="52" spans="1:5" ht="15.75" x14ac:dyDescent="0.25">
      <c r="A52" s="8">
        <v>49</v>
      </c>
      <c r="B52" s="9" t="s">
        <v>55</v>
      </c>
      <c r="C52" s="6"/>
      <c r="D52" s="9" t="s">
        <v>68</v>
      </c>
      <c r="E52" s="10">
        <f>ROUND(C52*0.02,0)</f>
        <v>0</v>
      </c>
    </row>
    <row r="53" spans="1:5" ht="15.75" x14ac:dyDescent="0.25">
      <c r="A53" s="8">
        <v>50</v>
      </c>
      <c r="B53" s="9" t="s">
        <v>56</v>
      </c>
      <c r="C53" s="6"/>
      <c r="D53" s="9" t="s">
        <v>57</v>
      </c>
      <c r="E53" s="10">
        <f>ROUND(C53*0.164,0)</f>
        <v>0</v>
      </c>
    </row>
    <row r="54" spans="1:5" ht="15.75" x14ac:dyDescent="0.25">
      <c r="A54" s="8">
        <v>51</v>
      </c>
      <c r="B54" s="9" t="s">
        <v>58</v>
      </c>
      <c r="C54" s="6"/>
      <c r="D54" s="9" t="s">
        <v>68</v>
      </c>
      <c r="E54" s="10">
        <f>ROUND(C54*0.02,0)</f>
        <v>0</v>
      </c>
    </row>
    <row r="55" spans="1:5" ht="15.75" x14ac:dyDescent="0.25">
      <c r="A55" s="8">
        <v>52</v>
      </c>
      <c r="B55" s="9" t="s">
        <v>59</v>
      </c>
      <c r="C55" s="6"/>
      <c r="D55" s="9" t="s">
        <v>7</v>
      </c>
      <c r="E55" s="10">
        <f>ROUND(C55*0.000121,0)</f>
        <v>0</v>
      </c>
    </row>
    <row r="56" spans="1:5" ht="15.75" x14ac:dyDescent="0.25">
      <c r="A56" s="8">
        <v>53</v>
      </c>
      <c r="B56" s="9" t="s">
        <v>60</v>
      </c>
      <c r="C56" s="6"/>
      <c r="D56" s="9" t="s">
        <v>61</v>
      </c>
      <c r="E56" s="10">
        <f>ROUND(C56*0.5639,0)</f>
        <v>0</v>
      </c>
    </row>
    <row r="57" spans="1:5" ht="15.75" x14ac:dyDescent="0.25">
      <c r="A57" s="8">
        <v>54</v>
      </c>
      <c r="B57" s="9" t="s">
        <v>62</v>
      </c>
      <c r="C57" s="6"/>
      <c r="D57" s="9" t="s">
        <v>4</v>
      </c>
      <c r="E57" s="10">
        <f>ROUND(C57*4.563,0)</f>
        <v>0</v>
      </c>
    </row>
    <row r="59" spans="1:5" ht="18.75" x14ac:dyDescent="0.3">
      <c r="B59" s="28" t="s">
        <v>76</v>
      </c>
      <c r="C59" s="29">
        <f>SUM(E12:E57)</f>
        <v>0</v>
      </c>
    </row>
  </sheetData>
  <mergeCells count="9">
    <mergeCell ref="A38:A39"/>
    <mergeCell ref="B38:B39"/>
    <mergeCell ref="A1:B1"/>
    <mergeCell ref="A3:B3"/>
    <mergeCell ref="A5:A7"/>
    <mergeCell ref="B5:B7"/>
    <mergeCell ref="A10:E10"/>
    <mergeCell ref="A21:A22"/>
    <mergeCell ref="B21:B22"/>
  </mergeCells>
  <pageMargins left="0.7" right="0.7" top="0.2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Lozano</dc:creator>
  <cp:lastModifiedBy>Esperanza Aguilar</cp:lastModifiedBy>
  <dcterms:created xsi:type="dcterms:W3CDTF">2023-09-14T19:32:15Z</dcterms:created>
  <dcterms:modified xsi:type="dcterms:W3CDTF">2024-11-01T19:17:36Z</dcterms:modified>
</cp:coreProperties>
</file>